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55" windowWidth="18855" windowHeight="12465" activeTab="0"/>
  </bookViews>
  <sheets>
    <sheet name="Лист3" sheetId="1" r:id="rId1"/>
  </sheets>
  <definedNames>
    <definedName name="_xlnm.Print_Area" localSheetId="0">'Лист3'!$A$1:$Y$55</definedName>
  </definedNames>
  <calcPr fullCalcOnLoad="1"/>
</workbook>
</file>

<file path=xl/sharedStrings.xml><?xml version="1.0" encoding="utf-8"?>
<sst xmlns="http://schemas.openxmlformats.org/spreadsheetml/2006/main" count="60" uniqueCount="37">
  <si>
    <t>КЕКВ/КФК</t>
  </si>
  <si>
    <t>Обгрунтована потреба на  2015 рік</t>
  </si>
  <si>
    <t>070201</t>
  </si>
  <si>
    <t>ПАТ "ДТЕК ДНІПРОЕНЕРГО"</t>
  </si>
  <si>
    <t>натур.показн. (факт 2014)</t>
  </si>
  <si>
    <t>натур.показн.збільшення на 15% (факт 2014)</t>
  </si>
  <si>
    <t>тариф</t>
  </si>
  <si>
    <t>тариф +15%</t>
  </si>
  <si>
    <t>грошов. показн. на 2015 рік(тис.грн.)</t>
  </si>
  <si>
    <t>грошов. показн. (тис.грн.)</t>
  </si>
  <si>
    <t>МКП "Дн-ські міські теплові мережі"</t>
  </si>
  <si>
    <t>70ш</t>
  </si>
  <si>
    <t>70днз</t>
  </si>
  <si>
    <t>КП "Коменергосервіс"</t>
  </si>
  <si>
    <t>ВСП "Будівельно-монтажне експл-не упр-ня Нижньодніпровськ-Вузол"</t>
  </si>
  <si>
    <t>070202</t>
  </si>
  <si>
    <t>КП "Дніпроводоканал"</t>
  </si>
  <si>
    <t>Енергозбут</t>
  </si>
  <si>
    <t>ПАТ "Дніпрогаз"</t>
  </si>
  <si>
    <t>110ш</t>
  </si>
  <si>
    <t>110днз</t>
  </si>
  <si>
    <t>122ш</t>
  </si>
  <si>
    <t>122днз</t>
  </si>
  <si>
    <t>ПАТ"ДТЕК ДНІПРООБЛЕНЕРГО"</t>
  </si>
  <si>
    <t>Назва постачальника (КЕКВ 2272 "Вода та водовідведення"</t>
  </si>
  <si>
    <t>Назва постачальника (КЕКВ 2273 "Оплата електроенергії) ПАТ"ДТЕК ДНІПРООБЛЕНЕРГО"</t>
  </si>
  <si>
    <t>Тариф 2014</t>
  </si>
  <si>
    <t>Тариф 2015</t>
  </si>
  <si>
    <t>Тариф 2014р.</t>
  </si>
  <si>
    <t>Тариф 2015р.</t>
  </si>
  <si>
    <t>Назва постачальника (КЕКВ 2274 "Оплата природного газу")</t>
  </si>
  <si>
    <t>Назва постачальника (КЕКВ 2271 Теплова енергія)</t>
  </si>
  <si>
    <t>Натурал. Показники 2015р.</t>
  </si>
  <si>
    <t>Натурал. показники 2015р.</t>
  </si>
  <si>
    <t>Натурал. показники 2015р. (вода)</t>
  </si>
  <si>
    <t>Натурал. показники 2015р. (стоки)</t>
  </si>
  <si>
    <t>натурал. показники 2015р.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</si>
</sst>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_-* #,##0.00_р_._-;\-* #,##0.00_р_._-;_-* &quot;-&quot;??_р_._-;_-@"/>
    <numFmt numFmtId="167" formatCode="0.0000"/>
    <numFmt numFmtId="168" formatCode="0.00000"/>
    <numFmt numFmtId="169" formatCode="_-* #,##0.0000_р_._-;\-* #,##0.0000_р_._-;_-* &quot;-&quot;??.00_р_._-;_-@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12"/>
      <name val="Trebuchet MS"/>
      <family val="0"/>
    </font>
    <font>
      <b/>
      <sz val="12"/>
      <name val="Trebuchet MS"/>
      <family val="0"/>
    </font>
    <font>
      <sz val="11"/>
      <name val="Arial cyr"/>
      <family val="0"/>
    </font>
    <font>
      <sz val="12"/>
      <color indexed="10"/>
      <name val="Trebuchet MS"/>
      <family val="0"/>
    </font>
    <font>
      <sz val="11"/>
      <color indexed="10"/>
      <name val="Trebuchet MS"/>
      <family val="0"/>
    </font>
    <font>
      <b/>
      <sz val="11"/>
      <color indexed="10"/>
      <name val="Trebuchet MS"/>
      <family val="0"/>
    </font>
    <font>
      <b/>
      <sz val="12"/>
      <color indexed="10"/>
      <name val="Trebuchet MS"/>
      <family val="0"/>
    </font>
    <font>
      <b/>
      <sz val="10"/>
      <color indexed="10"/>
      <name val="Trebuchet MS"/>
      <family val="0"/>
    </font>
    <font>
      <sz val="12"/>
      <color indexed="10"/>
      <name val="Arial"/>
      <family val="0"/>
    </font>
    <font>
      <sz val="8"/>
      <name val="Arial"/>
      <family val="0"/>
    </font>
    <font>
      <sz val="11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164" fontId="4" fillId="24" borderId="10" xfId="0" applyNumberFormat="1" applyFont="1" applyFill="1" applyBorder="1" applyAlignment="1">
      <alignment horizontal="center" vertical="center"/>
    </xf>
    <xf numFmtId="2" fontId="4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3" fontId="4" fillId="24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67" fontId="6" fillId="0" borderId="10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166" fontId="4" fillId="24" borderId="10" xfId="0" applyNumberFormat="1" applyFont="1" applyFill="1" applyBorder="1" applyAlignment="1">
      <alignment horizontal="center" vertical="center"/>
    </xf>
    <xf numFmtId="4" fontId="4" fillId="24" borderId="10" xfId="0" applyNumberFormat="1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3" fontId="9" fillId="24" borderId="10" xfId="0" applyNumberFormat="1" applyFont="1" applyFill="1" applyBorder="1" applyAlignment="1">
      <alignment horizontal="center" vertical="center"/>
    </xf>
    <xf numFmtId="167" fontId="6" fillId="24" borderId="10" xfId="0" applyNumberFormat="1" applyFont="1" applyFill="1" applyBorder="1" applyAlignment="1">
      <alignment horizontal="center" vertical="center"/>
    </xf>
    <xf numFmtId="168" fontId="6" fillId="24" borderId="10" xfId="0" applyNumberFormat="1" applyFont="1" applyFill="1" applyBorder="1" applyAlignment="1">
      <alignment horizontal="center" vertical="center"/>
    </xf>
    <xf numFmtId="166" fontId="3" fillId="24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26" borderId="12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164" fontId="4" fillId="24" borderId="12" xfId="0" applyNumberFormat="1" applyFont="1" applyFill="1" applyBorder="1" applyAlignment="1">
      <alignment horizontal="center" vertical="center"/>
    </xf>
    <xf numFmtId="2" fontId="4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  <xf numFmtId="0" fontId="5" fillId="27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25" borderId="17" xfId="0" applyFont="1" applyFill="1" applyBorder="1" applyAlignment="1">
      <alignment horizontal="center" vertical="center" wrapText="1"/>
    </xf>
    <xf numFmtId="0" fontId="5" fillId="25" borderId="18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3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3" fontId="4" fillId="24" borderId="10" xfId="0" applyNumberFormat="1" applyFont="1" applyFill="1" applyBorder="1" applyAlignment="1">
      <alignment horizontal="center" vertical="center" wrapText="1"/>
    </xf>
    <xf numFmtId="3" fontId="4" fillId="24" borderId="13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5" fillId="25" borderId="12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" fillId="25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17.28125" defaultRowHeight="15.75" customHeight="1"/>
  <cols>
    <col min="1" max="1" width="15.28125" style="0" customWidth="1"/>
    <col min="2" max="2" width="19.8515625" style="0" customWidth="1"/>
    <col min="3" max="3" width="14.57421875" style="0" customWidth="1"/>
    <col min="4" max="4" width="15.7109375" style="0" hidden="1" customWidth="1"/>
    <col min="5" max="5" width="8.00390625" style="0" hidden="1" customWidth="1"/>
    <col min="6" max="6" width="20.7109375" style="0" customWidth="1"/>
    <col min="7" max="7" width="8.00390625" style="0" hidden="1" customWidth="1"/>
    <col min="8" max="8" width="11.7109375" style="0" hidden="1" customWidth="1"/>
    <col min="9" max="9" width="8.00390625" style="0" hidden="1" customWidth="1"/>
    <col min="10" max="10" width="16.00390625" style="0" customWidth="1"/>
    <col min="11" max="11" width="23.57421875" style="0" hidden="1" customWidth="1"/>
    <col min="12" max="12" width="0" style="0" hidden="1" customWidth="1"/>
    <col min="13" max="13" width="20.7109375" style="0" customWidth="1"/>
    <col min="14" max="14" width="22.8515625" style="0" customWidth="1"/>
    <col min="18" max="21" width="0" style="0" hidden="1" customWidth="1"/>
    <col min="24" max="24" width="19.7109375" style="0" customWidth="1"/>
  </cols>
  <sheetData>
    <row r="1" spans="1:11" ht="12.75" customHeight="1">
      <c r="A1" s="34"/>
      <c r="B1" s="34"/>
      <c r="C1" s="34"/>
      <c r="D1" s="34"/>
      <c r="E1" s="34"/>
      <c r="F1" s="34"/>
      <c r="G1" s="34"/>
      <c r="H1" s="34"/>
      <c r="I1" s="33"/>
      <c r="J1" s="33"/>
      <c r="K1" s="33"/>
    </row>
    <row r="2" spans="1:11" ht="12.75" customHeight="1">
      <c r="A2" s="34"/>
      <c r="B2" s="34"/>
      <c r="C2" s="34"/>
      <c r="D2" s="34"/>
      <c r="E2" s="34"/>
      <c r="F2" s="34"/>
      <c r="G2" s="34"/>
      <c r="H2" s="34"/>
      <c r="I2" s="33"/>
      <c r="J2" s="33"/>
      <c r="K2" s="33"/>
    </row>
    <row r="3" spans="1:11" ht="12.75" customHeight="1">
      <c r="A3" s="34"/>
      <c r="B3" s="34"/>
      <c r="C3" s="34"/>
      <c r="D3" s="34"/>
      <c r="E3" s="34"/>
      <c r="F3" s="34"/>
      <c r="G3" s="34"/>
      <c r="H3" s="34"/>
      <c r="I3" s="33"/>
      <c r="J3" s="33"/>
      <c r="K3" s="33"/>
    </row>
    <row r="4" spans="1:11" ht="12.75" customHeight="1">
      <c r="A4" s="34"/>
      <c r="B4" s="34"/>
      <c r="C4" s="34"/>
      <c r="D4" s="34"/>
      <c r="E4" s="34"/>
      <c r="F4" s="34"/>
      <c r="G4" s="34"/>
      <c r="H4" s="34"/>
      <c r="I4" s="33"/>
      <c r="J4" s="33"/>
      <c r="K4" s="33"/>
    </row>
    <row r="5" ht="12.75" customHeight="1"/>
    <row r="6" spans="2:25" ht="57" customHeight="1">
      <c r="B6" s="88" t="s">
        <v>31</v>
      </c>
      <c r="C6" s="89" t="s">
        <v>0</v>
      </c>
      <c r="D6" s="83" t="s">
        <v>1</v>
      </c>
      <c r="E6" s="84"/>
      <c r="F6" s="84"/>
      <c r="G6" s="84"/>
      <c r="H6" s="84"/>
      <c r="I6" s="84"/>
      <c r="J6" s="84"/>
      <c r="K6" s="84"/>
      <c r="L6" s="84"/>
      <c r="M6" s="84"/>
      <c r="N6" s="1" t="s">
        <v>24</v>
      </c>
      <c r="O6" s="9" t="s">
        <v>2</v>
      </c>
      <c r="P6" s="80" t="s">
        <v>34</v>
      </c>
      <c r="Q6" s="80" t="s">
        <v>35</v>
      </c>
      <c r="R6" s="10">
        <v>40250</v>
      </c>
      <c r="S6" s="10">
        <v>40250</v>
      </c>
      <c r="T6" s="10"/>
      <c r="U6" s="10"/>
      <c r="V6" s="15"/>
      <c r="W6" s="15"/>
      <c r="X6" s="15">
        <f>SUM(X7:X23)</f>
        <v>237685</v>
      </c>
      <c r="Y6" s="15">
        <f>SUM(Y7:Y23)</f>
        <v>142200</v>
      </c>
    </row>
    <row r="7" spans="2:25" ht="38.25" customHeight="1">
      <c r="B7" s="84"/>
      <c r="C7" s="84"/>
      <c r="D7" s="36" t="s">
        <v>4</v>
      </c>
      <c r="E7" s="36" t="s">
        <v>4</v>
      </c>
      <c r="F7" s="36" t="s">
        <v>36</v>
      </c>
      <c r="G7" s="36" t="s">
        <v>5</v>
      </c>
      <c r="H7" s="37" t="s">
        <v>6</v>
      </c>
      <c r="I7" s="37"/>
      <c r="J7" s="37" t="s">
        <v>7</v>
      </c>
      <c r="K7" s="37" t="s">
        <v>7</v>
      </c>
      <c r="L7" s="38" t="s">
        <v>8</v>
      </c>
      <c r="M7" s="38" t="s">
        <v>9</v>
      </c>
      <c r="N7" s="81" t="s">
        <v>3</v>
      </c>
      <c r="O7" s="5">
        <v>11</v>
      </c>
      <c r="P7" s="21">
        <f>900*1.21</f>
        <v>1089</v>
      </c>
      <c r="Q7" s="11">
        <f>900*1.21</f>
        <v>1089</v>
      </c>
      <c r="R7" s="11">
        <f aca="true" t="shared" si="0" ref="R7:S23">P7</f>
        <v>1089</v>
      </c>
      <c r="S7" s="11">
        <f t="shared" si="0"/>
        <v>1089</v>
      </c>
      <c r="T7" s="6">
        <v>3.6</v>
      </c>
      <c r="U7" s="6">
        <v>3</v>
      </c>
      <c r="V7" s="12">
        <f aca="true" t="shared" si="1" ref="V7:W24">T7*1.15</f>
        <v>4.14</v>
      </c>
      <c r="W7" s="12">
        <f t="shared" si="1"/>
        <v>3.4499999999999997</v>
      </c>
      <c r="X7" s="12">
        <f>ROUND(P7*V7,0)</f>
        <v>4508</v>
      </c>
      <c r="Y7" s="12">
        <f>ROUND(Q7*W7,0)</f>
        <v>3757</v>
      </c>
    </row>
    <row r="8" spans="2:25" ht="19.5" customHeight="1">
      <c r="B8" s="64"/>
      <c r="C8" s="75">
        <v>1</v>
      </c>
      <c r="D8" s="75">
        <v>2</v>
      </c>
      <c r="E8" s="75"/>
      <c r="F8" s="75"/>
      <c r="G8" s="75"/>
      <c r="H8" s="75">
        <v>3</v>
      </c>
      <c r="I8" s="75"/>
      <c r="J8" s="75"/>
      <c r="K8" s="75"/>
      <c r="L8" s="75">
        <v>4</v>
      </c>
      <c r="M8" s="75"/>
      <c r="N8" s="82"/>
      <c r="O8" s="5">
        <v>27</v>
      </c>
      <c r="P8" s="22">
        <f>3200*1.22</f>
        <v>3904</v>
      </c>
      <c r="Q8" s="11">
        <f>3200*1.21</f>
        <v>3872</v>
      </c>
      <c r="R8" s="11">
        <f t="shared" si="0"/>
        <v>3904</v>
      </c>
      <c r="S8" s="11">
        <f t="shared" si="0"/>
        <v>3872</v>
      </c>
      <c r="T8" s="6">
        <v>3.6</v>
      </c>
      <c r="U8" s="6">
        <v>3</v>
      </c>
      <c r="V8" s="12">
        <f t="shared" si="1"/>
        <v>4.14</v>
      </c>
      <c r="W8" s="12">
        <f t="shared" si="1"/>
        <v>3.4499999999999997</v>
      </c>
      <c r="X8" s="12">
        <f aca="true" t="shared" si="2" ref="X8:Y24">ROUND(P8*V8,0)</f>
        <v>16163</v>
      </c>
      <c r="Y8" s="12">
        <f t="shared" si="2"/>
        <v>13358</v>
      </c>
    </row>
    <row r="9" spans="2:25" ht="33" customHeight="1">
      <c r="B9" s="85"/>
      <c r="C9" s="86"/>
      <c r="D9" s="76">
        <v>7437.987440000001</v>
      </c>
      <c r="E9" s="76">
        <v>0</v>
      </c>
      <c r="F9" s="76"/>
      <c r="G9" s="76">
        <v>0</v>
      </c>
      <c r="H9" s="76"/>
      <c r="I9" s="76">
        <v>0</v>
      </c>
      <c r="J9" s="77"/>
      <c r="K9" s="77"/>
      <c r="L9" s="77">
        <v>5627611.721076799</v>
      </c>
      <c r="M9" s="77"/>
      <c r="N9" s="82"/>
      <c r="O9" s="5">
        <v>98</v>
      </c>
      <c r="P9" s="22">
        <f>3000*1.21</f>
        <v>3630</v>
      </c>
      <c r="Q9" s="11">
        <f>3000*1.21</f>
        <v>3630</v>
      </c>
      <c r="R9" s="11">
        <f t="shared" si="0"/>
        <v>3630</v>
      </c>
      <c r="S9" s="11">
        <f t="shared" si="0"/>
        <v>3630</v>
      </c>
      <c r="T9" s="6">
        <v>3.6</v>
      </c>
      <c r="U9" s="6">
        <v>3</v>
      </c>
      <c r="V9" s="12">
        <f t="shared" si="1"/>
        <v>4.14</v>
      </c>
      <c r="W9" s="12">
        <f t="shared" si="1"/>
        <v>3.4499999999999997</v>
      </c>
      <c r="X9" s="12">
        <f t="shared" si="2"/>
        <v>15028</v>
      </c>
      <c r="Y9" s="12">
        <f t="shared" si="2"/>
        <v>12524</v>
      </c>
    </row>
    <row r="10" spans="2:25" ht="32.25" customHeight="1">
      <c r="B10" s="40"/>
      <c r="C10" s="41" t="s">
        <v>2</v>
      </c>
      <c r="D10" s="42">
        <f>SUM(D11:D17)</f>
        <v>3217.0557599999997</v>
      </c>
      <c r="E10" s="42">
        <v>0</v>
      </c>
      <c r="F10" s="42">
        <f>SUM(F11:F17)</f>
        <v>3216.95928</v>
      </c>
      <c r="G10" s="42">
        <v>0</v>
      </c>
      <c r="H10" s="42">
        <f>SUM(H11:H17)</f>
        <v>5282.36</v>
      </c>
      <c r="I10" s="42">
        <v>0</v>
      </c>
      <c r="J10" s="43"/>
      <c r="K10" s="43"/>
      <c r="L10" s="43">
        <f>SUM(L11:L17)</f>
        <v>2526755.4745770255</v>
      </c>
      <c r="M10" s="43">
        <f>SUM(M11:M17)</f>
        <v>2526755</v>
      </c>
      <c r="N10" s="7" t="s">
        <v>16</v>
      </c>
      <c r="O10" s="5">
        <v>24</v>
      </c>
      <c r="P10" s="22">
        <f>1800*1.21</f>
        <v>2178</v>
      </c>
      <c r="Q10" s="11">
        <f>1800*1.21</f>
        <v>2178</v>
      </c>
      <c r="R10" s="11">
        <f t="shared" si="0"/>
        <v>2178</v>
      </c>
      <c r="S10" s="11">
        <f t="shared" si="0"/>
        <v>2178</v>
      </c>
      <c r="T10" s="8">
        <v>4.68</v>
      </c>
      <c r="U10" s="8">
        <v>3.684</v>
      </c>
      <c r="V10" s="12">
        <f t="shared" si="1"/>
        <v>5.382</v>
      </c>
      <c r="W10" s="12">
        <f t="shared" si="1"/>
        <v>4.2366</v>
      </c>
      <c r="X10" s="12">
        <f>ROUND(P10*V10,0)</f>
        <v>11722</v>
      </c>
      <c r="Y10" s="12">
        <f>ROUND(Q10*W10,0)</f>
        <v>9227</v>
      </c>
    </row>
    <row r="11" spans="2:25" ht="30.75" customHeight="1">
      <c r="B11" s="87" t="s">
        <v>3</v>
      </c>
      <c r="C11" s="44">
        <v>11</v>
      </c>
      <c r="D11" s="45">
        <f>240.5036*1.13</f>
        <v>271.769068</v>
      </c>
      <c r="E11" s="45"/>
      <c r="F11" s="45">
        <f>D11</f>
        <v>271.769068</v>
      </c>
      <c r="G11" s="45"/>
      <c r="H11" s="46">
        <v>396.54</v>
      </c>
      <c r="I11" s="46"/>
      <c r="J11" s="47">
        <f aca="true" t="shared" si="3" ref="J11:J18">H11*1.15</f>
        <v>456.021</v>
      </c>
      <c r="K11" s="47"/>
      <c r="L11" s="47">
        <f aca="true" t="shared" si="4" ref="L11:L18">F11*J11</f>
        <v>123932.40215842801</v>
      </c>
      <c r="M11" s="47">
        <f aca="true" t="shared" si="5" ref="M11:M17">ROUND(L11,0)</f>
        <v>123932</v>
      </c>
      <c r="N11" s="81" t="s">
        <v>14</v>
      </c>
      <c r="O11" s="5">
        <v>39</v>
      </c>
      <c r="P11" s="22">
        <f>3500*1.22</f>
        <v>4270</v>
      </c>
      <c r="Q11" s="11">
        <f>3500*1.21</f>
        <v>4235</v>
      </c>
      <c r="R11" s="11">
        <f t="shared" si="0"/>
        <v>4270</v>
      </c>
      <c r="S11" s="11">
        <f t="shared" si="0"/>
        <v>4235</v>
      </c>
      <c r="T11" s="8">
        <v>7.392</v>
      </c>
      <c r="U11" s="8">
        <v>5.579</v>
      </c>
      <c r="V11" s="12">
        <f t="shared" si="1"/>
        <v>8.5008</v>
      </c>
      <c r="W11" s="12">
        <f t="shared" si="1"/>
        <v>6.415849999999999</v>
      </c>
      <c r="X11" s="12">
        <f t="shared" si="2"/>
        <v>36298</v>
      </c>
      <c r="Y11" s="12">
        <f t="shared" si="2"/>
        <v>27171</v>
      </c>
    </row>
    <row r="12" spans="2:25" ht="25.5" customHeight="1">
      <c r="B12" s="84"/>
      <c r="C12" s="44">
        <v>27</v>
      </c>
      <c r="D12" s="45">
        <f>561.2551*1.13</f>
        <v>634.2182629999999</v>
      </c>
      <c r="E12" s="45"/>
      <c r="F12" s="45">
        <f>D12-0.09648</f>
        <v>634.1217829999998</v>
      </c>
      <c r="G12" s="45"/>
      <c r="H12" s="46">
        <v>396.54</v>
      </c>
      <c r="I12" s="46"/>
      <c r="J12" s="47">
        <f t="shared" si="3"/>
        <v>456.021</v>
      </c>
      <c r="K12" s="47"/>
      <c r="L12" s="47">
        <f t="shared" si="4"/>
        <v>289172.84960544296</v>
      </c>
      <c r="M12" s="47">
        <f t="shared" si="5"/>
        <v>289173</v>
      </c>
      <c r="N12" s="82"/>
      <c r="O12" s="5" t="s">
        <v>11</v>
      </c>
      <c r="P12" s="22">
        <f>800*1.21</f>
        <v>968</v>
      </c>
      <c r="Q12" s="11">
        <f>800*1.21</f>
        <v>968</v>
      </c>
      <c r="R12" s="11">
        <f t="shared" si="0"/>
        <v>968</v>
      </c>
      <c r="S12" s="11">
        <f t="shared" si="0"/>
        <v>968</v>
      </c>
      <c r="T12" s="8">
        <v>7.392</v>
      </c>
      <c r="U12" s="8">
        <v>5.579</v>
      </c>
      <c r="V12" s="12">
        <f t="shared" si="1"/>
        <v>8.5008</v>
      </c>
      <c r="W12" s="12">
        <f t="shared" si="1"/>
        <v>6.415849999999999</v>
      </c>
      <c r="X12" s="12">
        <f t="shared" si="2"/>
        <v>8229</v>
      </c>
      <c r="Y12" s="12">
        <f t="shared" si="2"/>
        <v>6211</v>
      </c>
    </row>
    <row r="13" spans="2:25" ht="27.75" customHeight="1">
      <c r="B13" s="84"/>
      <c r="C13" s="44">
        <v>98</v>
      </c>
      <c r="D13" s="45">
        <f>503.7985*1.13</f>
        <v>569.2923049999999</v>
      </c>
      <c r="E13" s="45"/>
      <c r="F13" s="45">
        <f>D13</f>
        <v>569.2923049999999</v>
      </c>
      <c r="G13" s="45"/>
      <c r="H13" s="46">
        <v>396.54</v>
      </c>
      <c r="I13" s="46"/>
      <c r="J13" s="47">
        <f t="shared" si="3"/>
        <v>456.021</v>
      </c>
      <c r="K13" s="47"/>
      <c r="L13" s="47">
        <f t="shared" si="4"/>
        <v>259609.246218405</v>
      </c>
      <c r="M13" s="47">
        <f t="shared" si="5"/>
        <v>259609</v>
      </c>
      <c r="N13" s="82"/>
      <c r="O13" s="5" t="s">
        <v>12</v>
      </c>
      <c r="P13" s="22">
        <f>1000*1.21</f>
        <v>1210</v>
      </c>
      <c r="Q13" s="11">
        <f>1000*1.21</f>
        <v>1210</v>
      </c>
      <c r="R13" s="11">
        <f t="shared" si="0"/>
        <v>1210</v>
      </c>
      <c r="S13" s="11">
        <f t="shared" si="0"/>
        <v>1210</v>
      </c>
      <c r="T13" s="8">
        <v>7.392</v>
      </c>
      <c r="U13" s="8">
        <v>5.579</v>
      </c>
      <c r="V13" s="12">
        <f t="shared" si="1"/>
        <v>8.5008</v>
      </c>
      <c r="W13" s="12">
        <f t="shared" si="1"/>
        <v>6.415849999999999</v>
      </c>
      <c r="X13" s="12">
        <f>ROUND(P13*V13,0)-4</f>
        <v>10282</v>
      </c>
      <c r="Y13" s="12">
        <f t="shared" si="2"/>
        <v>7763</v>
      </c>
    </row>
    <row r="14" spans="2:25" ht="41.25" customHeight="1">
      <c r="B14" s="87" t="s">
        <v>10</v>
      </c>
      <c r="C14" s="44">
        <v>39</v>
      </c>
      <c r="D14" s="45">
        <f>558.3*1.13</f>
        <v>630.8789999999999</v>
      </c>
      <c r="E14" s="45"/>
      <c r="F14" s="45">
        <f>D14</f>
        <v>630.8789999999999</v>
      </c>
      <c r="G14" s="45"/>
      <c r="H14" s="46">
        <v>1205.33</v>
      </c>
      <c r="I14" s="48"/>
      <c r="J14" s="47">
        <f t="shared" si="3"/>
        <v>1386.1294999999998</v>
      </c>
      <c r="K14" s="47"/>
      <c r="L14" s="47">
        <f t="shared" si="4"/>
        <v>874479.9928304998</v>
      </c>
      <c r="M14" s="47">
        <f t="shared" si="5"/>
        <v>874480</v>
      </c>
      <c r="N14" s="81" t="s">
        <v>16</v>
      </c>
      <c r="O14" s="5">
        <v>87</v>
      </c>
      <c r="P14" s="22">
        <f>1200*1.21</f>
        <v>1452</v>
      </c>
      <c r="Q14" s="11">
        <f>1200*1.21</f>
        <v>1452</v>
      </c>
      <c r="R14" s="11">
        <f t="shared" si="0"/>
        <v>1452</v>
      </c>
      <c r="S14" s="11">
        <f t="shared" si="0"/>
        <v>1452</v>
      </c>
      <c r="T14" s="8">
        <v>4.68</v>
      </c>
      <c r="U14" s="6">
        <v>0</v>
      </c>
      <c r="V14" s="12">
        <f t="shared" si="1"/>
        <v>5.382</v>
      </c>
      <c r="W14" s="12">
        <f t="shared" si="1"/>
        <v>0</v>
      </c>
      <c r="X14" s="12">
        <f t="shared" si="2"/>
        <v>7815</v>
      </c>
      <c r="Y14" s="12">
        <f t="shared" si="2"/>
        <v>0</v>
      </c>
    </row>
    <row r="15" spans="2:25" ht="24.75" customHeight="1">
      <c r="B15" s="84"/>
      <c r="C15" s="44" t="s">
        <v>11</v>
      </c>
      <c r="D15" s="45">
        <f>248.86*1.13</f>
        <v>281.2118</v>
      </c>
      <c r="E15" s="45"/>
      <c r="F15" s="45">
        <f>D15</f>
        <v>281.2118</v>
      </c>
      <c r="G15" s="45"/>
      <c r="H15" s="46">
        <v>1205.33</v>
      </c>
      <c r="I15" s="48"/>
      <c r="J15" s="47">
        <f t="shared" si="3"/>
        <v>1386.1294999999998</v>
      </c>
      <c r="K15" s="47"/>
      <c r="L15" s="47">
        <f t="shared" si="4"/>
        <v>389795.9717280999</v>
      </c>
      <c r="M15" s="47">
        <f t="shared" si="5"/>
        <v>389796</v>
      </c>
      <c r="N15" s="82"/>
      <c r="O15" s="5">
        <v>108</v>
      </c>
      <c r="P15" s="22">
        <f>800*1.21</f>
        <v>968</v>
      </c>
      <c r="Q15" s="11">
        <f>800*1.21</f>
        <v>968</v>
      </c>
      <c r="R15" s="11">
        <f t="shared" si="0"/>
        <v>968</v>
      </c>
      <c r="S15" s="11">
        <f t="shared" si="0"/>
        <v>968</v>
      </c>
      <c r="T15" s="8">
        <v>4.68</v>
      </c>
      <c r="U15" s="6">
        <v>0</v>
      </c>
      <c r="V15" s="12">
        <f t="shared" si="1"/>
        <v>5.382</v>
      </c>
      <c r="W15" s="12">
        <f t="shared" si="1"/>
        <v>0</v>
      </c>
      <c r="X15" s="12">
        <f t="shared" si="2"/>
        <v>5210</v>
      </c>
      <c r="Y15" s="12">
        <f t="shared" si="2"/>
        <v>0</v>
      </c>
    </row>
    <row r="16" spans="2:25" ht="23.25" customHeight="1">
      <c r="B16" s="84"/>
      <c r="C16" s="44" t="s">
        <v>12</v>
      </c>
      <c r="D16" s="45">
        <f>142.46*1.13</f>
        <v>160.97979999999998</v>
      </c>
      <c r="E16" s="45"/>
      <c r="F16" s="45">
        <f>D16</f>
        <v>160.97979999999998</v>
      </c>
      <c r="G16" s="45"/>
      <c r="H16" s="46">
        <v>1205.33</v>
      </c>
      <c r="I16" s="48"/>
      <c r="J16" s="47">
        <f t="shared" si="3"/>
        <v>1386.1294999999998</v>
      </c>
      <c r="K16" s="47"/>
      <c r="L16" s="47">
        <f t="shared" si="4"/>
        <v>223138.84968409993</v>
      </c>
      <c r="M16" s="47">
        <f t="shared" si="5"/>
        <v>223139</v>
      </c>
      <c r="N16" s="82"/>
      <c r="O16" s="5">
        <v>109</v>
      </c>
      <c r="P16" s="22">
        <f>2800*1.21</f>
        <v>3388</v>
      </c>
      <c r="Q16" s="11">
        <f>2800*1.21</f>
        <v>3388</v>
      </c>
      <c r="R16" s="11">
        <f t="shared" si="0"/>
        <v>3388</v>
      </c>
      <c r="S16" s="11">
        <f t="shared" si="0"/>
        <v>3388</v>
      </c>
      <c r="T16" s="8">
        <v>4.68</v>
      </c>
      <c r="U16" s="8">
        <v>3.684</v>
      </c>
      <c r="V16" s="12">
        <f t="shared" si="1"/>
        <v>5.382</v>
      </c>
      <c r="W16" s="12">
        <f t="shared" si="1"/>
        <v>4.2366</v>
      </c>
      <c r="X16" s="12">
        <f t="shared" si="2"/>
        <v>18234</v>
      </c>
      <c r="Y16" s="12">
        <f t="shared" si="2"/>
        <v>14354</v>
      </c>
    </row>
    <row r="17" spans="2:25" ht="27.75" customHeight="1">
      <c r="B17" s="39" t="s">
        <v>13</v>
      </c>
      <c r="C17" s="44">
        <v>129</v>
      </c>
      <c r="D17" s="45">
        <f>591.7748*1.13</f>
        <v>668.705524</v>
      </c>
      <c r="E17" s="45"/>
      <c r="F17" s="45">
        <f>D17</f>
        <v>668.705524</v>
      </c>
      <c r="G17" s="45"/>
      <c r="H17" s="49">
        <v>476.75</v>
      </c>
      <c r="I17" s="49"/>
      <c r="J17" s="47">
        <f t="shared" si="3"/>
        <v>548.2624999999999</v>
      </c>
      <c r="K17" s="47"/>
      <c r="L17" s="47">
        <f t="shared" si="4"/>
        <v>366626.16235204996</v>
      </c>
      <c r="M17" s="47">
        <f t="shared" si="5"/>
        <v>366626</v>
      </c>
      <c r="N17" s="82"/>
      <c r="O17" s="5" t="s">
        <v>19</v>
      </c>
      <c r="P17" s="22">
        <f>1800*1.21</f>
        <v>2178</v>
      </c>
      <c r="Q17" s="11">
        <f>1800*1.21</f>
        <v>2178</v>
      </c>
      <c r="R17" s="11">
        <f t="shared" si="0"/>
        <v>2178</v>
      </c>
      <c r="S17" s="11">
        <f t="shared" si="0"/>
        <v>2178</v>
      </c>
      <c r="T17" s="8">
        <v>4.68</v>
      </c>
      <c r="U17" s="6">
        <v>0</v>
      </c>
      <c r="V17" s="12">
        <f t="shared" si="1"/>
        <v>5.382</v>
      </c>
      <c r="W17" s="12">
        <f t="shared" si="1"/>
        <v>0</v>
      </c>
      <c r="X17" s="12">
        <f t="shared" si="2"/>
        <v>11722</v>
      </c>
      <c r="Y17" s="12">
        <f t="shared" si="2"/>
        <v>0</v>
      </c>
    </row>
    <row r="18" spans="2:25" ht="30" customHeight="1">
      <c r="B18" s="50" t="s">
        <v>3</v>
      </c>
      <c r="C18" s="51" t="s">
        <v>15</v>
      </c>
      <c r="D18" s="52">
        <v>322.326</v>
      </c>
      <c r="E18" s="53"/>
      <c r="F18" s="52">
        <f>D18-0.32674</f>
        <v>321.99926000000005</v>
      </c>
      <c r="G18" s="53"/>
      <c r="H18" s="54">
        <v>396.54</v>
      </c>
      <c r="I18" s="55"/>
      <c r="J18" s="54">
        <f t="shared" si="3"/>
        <v>456.021</v>
      </c>
      <c r="K18" s="54"/>
      <c r="L18" s="54">
        <f t="shared" si="4"/>
        <v>146838.42454446002</v>
      </c>
      <c r="M18" s="54">
        <f>ROUND(F18*J18,0)</f>
        <v>146838</v>
      </c>
      <c r="N18" s="82"/>
      <c r="O18" s="5" t="s">
        <v>20</v>
      </c>
      <c r="P18" s="22">
        <f>1200*1.21</f>
        <v>1452</v>
      </c>
      <c r="Q18" s="11">
        <f>1200*1.2</f>
        <v>1440</v>
      </c>
      <c r="R18" s="11">
        <f t="shared" si="0"/>
        <v>1452</v>
      </c>
      <c r="S18" s="11">
        <f t="shared" si="0"/>
        <v>1440</v>
      </c>
      <c r="T18" s="8">
        <v>4.68</v>
      </c>
      <c r="U18" s="8">
        <v>3.684</v>
      </c>
      <c r="V18" s="12">
        <f t="shared" si="1"/>
        <v>5.382</v>
      </c>
      <c r="W18" s="12">
        <f t="shared" si="1"/>
        <v>4.2366</v>
      </c>
      <c r="X18" s="12">
        <f t="shared" si="2"/>
        <v>7815</v>
      </c>
      <c r="Y18" s="12">
        <f t="shared" si="2"/>
        <v>6101</v>
      </c>
    </row>
    <row r="19" spans="2:25" ht="15.75" customHeight="1">
      <c r="B19" s="64"/>
      <c r="C19" s="56"/>
      <c r="D19" s="57"/>
      <c r="E19" s="57"/>
      <c r="F19" s="57"/>
      <c r="G19" s="57"/>
      <c r="H19" s="57"/>
      <c r="I19" s="57"/>
      <c r="J19" s="58"/>
      <c r="K19" s="58"/>
      <c r="L19" s="58"/>
      <c r="M19" s="58"/>
      <c r="N19" s="82"/>
      <c r="O19" s="5" t="s">
        <v>21</v>
      </c>
      <c r="P19" s="22">
        <f>1800*1.21</f>
        <v>2178</v>
      </c>
      <c r="Q19" s="11">
        <f>1800*1.21</f>
        <v>2178</v>
      </c>
      <c r="R19" s="11">
        <f t="shared" si="0"/>
        <v>2178</v>
      </c>
      <c r="S19" s="11">
        <f t="shared" si="0"/>
        <v>2178</v>
      </c>
      <c r="T19" s="8">
        <v>4.68</v>
      </c>
      <c r="U19" s="6">
        <v>0</v>
      </c>
      <c r="V19" s="12">
        <f t="shared" si="1"/>
        <v>5.382</v>
      </c>
      <c r="W19" s="12">
        <f t="shared" si="1"/>
        <v>0</v>
      </c>
      <c r="X19" s="12">
        <f t="shared" si="2"/>
        <v>11722</v>
      </c>
      <c r="Y19" s="12">
        <f t="shared" si="2"/>
        <v>0</v>
      </c>
    </row>
    <row r="20" spans="2:25" ht="21" customHeight="1">
      <c r="B20" s="92"/>
      <c r="C20" s="30"/>
      <c r="D20" s="61"/>
      <c r="E20" s="62"/>
      <c r="F20" s="62"/>
      <c r="G20" s="62"/>
      <c r="H20" s="31"/>
      <c r="I20" s="31"/>
      <c r="J20" s="14"/>
      <c r="K20" s="14"/>
      <c r="L20" s="14"/>
      <c r="M20" s="14"/>
      <c r="N20" s="82"/>
      <c r="O20" s="5" t="s">
        <v>22</v>
      </c>
      <c r="P20" s="22">
        <f>3100*1.21</f>
        <v>3751</v>
      </c>
      <c r="Q20" s="11">
        <f>3100*1.21</f>
        <v>3751</v>
      </c>
      <c r="R20" s="11">
        <f t="shared" si="0"/>
        <v>3751</v>
      </c>
      <c r="S20" s="11">
        <f t="shared" si="0"/>
        <v>3751</v>
      </c>
      <c r="T20" s="8">
        <v>4.68</v>
      </c>
      <c r="U20" s="8">
        <v>3.684</v>
      </c>
      <c r="V20" s="12">
        <f t="shared" si="1"/>
        <v>5.382</v>
      </c>
      <c r="W20" s="12">
        <f t="shared" si="1"/>
        <v>4.2366</v>
      </c>
      <c r="X20" s="12">
        <f t="shared" si="2"/>
        <v>20188</v>
      </c>
      <c r="Y20" s="12">
        <f t="shared" si="2"/>
        <v>15891</v>
      </c>
    </row>
    <row r="21" spans="2:25" ht="18" customHeight="1">
      <c r="B21" s="93"/>
      <c r="C21" s="30"/>
      <c r="D21" s="61"/>
      <c r="E21" s="62"/>
      <c r="F21" s="62"/>
      <c r="G21" s="62"/>
      <c r="H21" s="31"/>
      <c r="I21" s="31"/>
      <c r="J21" s="14"/>
      <c r="K21" s="14"/>
      <c r="L21" s="14"/>
      <c r="M21" s="14"/>
      <c r="N21" s="82"/>
      <c r="O21" s="5">
        <v>125</v>
      </c>
      <c r="P21" s="22">
        <f>2800*1.21</f>
        <v>3388</v>
      </c>
      <c r="Q21" s="11">
        <f>2800*1.21</f>
        <v>3388</v>
      </c>
      <c r="R21" s="11">
        <f t="shared" si="0"/>
        <v>3388</v>
      </c>
      <c r="S21" s="11">
        <f t="shared" si="0"/>
        <v>3388</v>
      </c>
      <c r="T21" s="8">
        <v>4.68</v>
      </c>
      <c r="U21" s="6">
        <v>0</v>
      </c>
      <c r="V21" s="12">
        <f t="shared" si="1"/>
        <v>5.382</v>
      </c>
      <c r="W21" s="12">
        <f t="shared" si="1"/>
        <v>0</v>
      </c>
      <c r="X21" s="12">
        <f t="shared" si="2"/>
        <v>18234</v>
      </c>
      <c r="Y21" s="12">
        <f t="shared" si="2"/>
        <v>0</v>
      </c>
    </row>
    <row r="22" spans="2:25" ht="21" customHeight="1">
      <c r="B22" s="93"/>
      <c r="C22" s="30"/>
      <c r="D22" s="61"/>
      <c r="E22" s="62"/>
      <c r="F22" s="62"/>
      <c r="G22" s="62"/>
      <c r="H22" s="31"/>
      <c r="I22" s="31"/>
      <c r="J22" s="14"/>
      <c r="K22" s="14"/>
      <c r="L22" s="14"/>
      <c r="M22" s="14"/>
      <c r="N22" s="82"/>
      <c r="O22" s="5">
        <v>127</v>
      </c>
      <c r="P22" s="22">
        <f>300*1.21</f>
        <v>363</v>
      </c>
      <c r="Q22" s="11">
        <f>300*1.21</f>
        <v>363</v>
      </c>
      <c r="R22" s="11">
        <f t="shared" si="0"/>
        <v>363</v>
      </c>
      <c r="S22" s="11">
        <f t="shared" si="0"/>
        <v>363</v>
      </c>
      <c r="T22" s="8">
        <v>4.68</v>
      </c>
      <c r="U22" s="8">
        <v>0</v>
      </c>
      <c r="V22" s="12">
        <f t="shared" si="1"/>
        <v>5.382</v>
      </c>
      <c r="W22" s="12">
        <f t="shared" si="1"/>
        <v>0</v>
      </c>
      <c r="X22" s="12">
        <f t="shared" si="2"/>
        <v>1954</v>
      </c>
      <c r="Y22" s="12">
        <f t="shared" si="2"/>
        <v>0</v>
      </c>
    </row>
    <row r="23" spans="2:25" ht="25.5" customHeight="1">
      <c r="B23" s="35"/>
      <c r="C23" s="30"/>
      <c r="D23" s="61"/>
      <c r="E23" s="62"/>
      <c r="F23" s="62"/>
      <c r="G23" s="62"/>
      <c r="H23" s="32"/>
      <c r="I23" s="32"/>
      <c r="J23" s="14"/>
      <c r="K23" s="14"/>
      <c r="L23" s="14"/>
      <c r="M23" s="14"/>
      <c r="N23" s="82"/>
      <c r="O23" s="5">
        <v>129</v>
      </c>
      <c r="P23" s="22">
        <f>5000*1.21</f>
        <v>6050</v>
      </c>
      <c r="Q23" s="11">
        <f>5000*1.22</f>
        <v>6100</v>
      </c>
      <c r="R23" s="11">
        <f t="shared" si="0"/>
        <v>6050</v>
      </c>
      <c r="S23" s="11">
        <f t="shared" si="0"/>
        <v>6100</v>
      </c>
      <c r="T23" s="8">
        <v>4.68</v>
      </c>
      <c r="U23" s="8">
        <v>3.684</v>
      </c>
      <c r="V23" s="12">
        <f t="shared" si="1"/>
        <v>5.382</v>
      </c>
      <c r="W23" s="12">
        <f t="shared" si="1"/>
        <v>4.2366</v>
      </c>
      <c r="X23" s="12">
        <f t="shared" si="2"/>
        <v>32561</v>
      </c>
      <c r="Y23" s="12">
        <f t="shared" si="2"/>
        <v>25843</v>
      </c>
    </row>
    <row r="24" spans="2:25" ht="46.5" customHeight="1">
      <c r="B24" s="35"/>
      <c r="C24" s="30"/>
      <c r="D24" s="61"/>
      <c r="E24" s="62"/>
      <c r="F24" s="62"/>
      <c r="G24" s="62"/>
      <c r="H24" s="32"/>
      <c r="I24" s="32"/>
      <c r="J24" s="14"/>
      <c r="K24" s="14"/>
      <c r="L24" s="14"/>
      <c r="M24" s="14"/>
      <c r="N24" s="60" t="s">
        <v>3</v>
      </c>
      <c r="O24" s="66" t="s">
        <v>15</v>
      </c>
      <c r="P24" s="11">
        <f>465*4.8</f>
        <v>2232</v>
      </c>
      <c r="Q24" s="11">
        <f>465*4.757</f>
        <v>2212.0049999999997</v>
      </c>
      <c r="R24" s="11">
        <v>534.75</v>
      </c>
      <c r="S24" s="11">
        <v>534.75</v>
      </c>
      <c r="T24" s="6">
        <v>3.6</v>
      </c>
      <c r="U24" s="6">
        <v>3</v>
      </c>
      <c r="V24" s="12">
        <f t="shared" si="1"/>
        <v>4.14</v>
      </c>
      <c r="W24" s="12">
        <f t="shared" si="1"/>
        <v>3.4499999999999997</v>
      </c>
      <c r="X24" s="12">
        <f t="shared" si="2"/>
        <v>9240</v>
      </c>
      <c r="Y24" s="12">
        <f>ROUND(Q24*W24,0)+2</f>
        <v>7633</v>
      </c>
    </row>
    <row r="25" spans="2:25" ht="49.5" customHeight="1">
      <c r="B25" s="69"/>
      <c r="C25" s="30"/>
      <c r="D25" s="61"/>
      <c r="E25" s="62"/>
      <c r="F25" s="62"/>
      <c r="G25" s="62"/>
      <c r="H25" s="32"/>
      <c r="I25" s="32"/>
      <c r="J25" s="14"/>
      <c r="K25" s="14"/>
      <c r="L25" s="14"/>
      <c r="M25" s="14"/>
      <c r="N25" s="81" t="s">
        <v>25</v>
      </c>
      <c r="O25" s="41" t="s">
        <v>2</v>
      </c>
      <c r="P25" s="79" t="s">
        <v>32</v>
      </c>
      <c r="Q25" s="13">
        <v>0</v>
      </c>
      <c r="R25" s="13"/>
      <c r="S25" s="13">
        <v>0</v>
      </c>
      <c r="T25" s="13" t="s">
        <v>26</v>
      </c>
      <c r="U25" s="13">
        <v>0</v>
      </c>
      <c r="V25" s="23" t="s">
        <v>27</v>
      </c>
      <c r="W25" s="23"/>
      <c r="X25" s="23">
        <f>SUM(X26:X42)</f>
        <v>2209439</v>
      </c>
      <c r="Y25" s="13">
        <v>0</v>
      </c>
    </row>
    <row r="26" spans="1:25" ht="90.75" customHeight="1">
      <c r="A26" s="1" t="s">
        <v>30</v>
      </c>
      <c r="B26" s="2" t="s">
        <v>2</v>
      </c>
      <c r="C26" s="78" t="s">
        <v>33</v>
      </c>
      <c r="D26" s="13">
        <v>0</v>
      </c>
      <c r="E26" s="13">
        <v>733706.9</v>
      </c>
      <c r="F26" s="13" t="s">
        <v>28</v>
      </c>
      <c r="G26" s="4"/>
      <c r="H26" s="13">
        <v>0</v>
      </c>
      <c r="I26" s="24"/>
      <c r="J26" s="24" t="s">
        <v>29</v>
      </c>
      <c r="K26" s="24">
        <f>SUM(K27:K36)</f>
        <v>4993439</v>
      </c>
      <c r="L26" s="14"/>
      <c r="M26" s="74">
        <f>SUM(M27:M36)</f>
        <v>4993444</v>
      </c>
      <c r="N26" s="82"/>
      <c r="O26" s="44">
        <v>24</v>
      </c>
      <c r="P26" s="65">
        <f>179347*1.1</f>
        <v>197281.7</v>
      </c>
      <c r="Q26" s="11"/>
      <c r="R26" s="11"/>
      <c r="S26" s="11"/>
      <c r="T26" s="16">
        <v>1.4802</v>
      </c>
      <c r="U26" s="17"/>
      <c r="V26" s="18">
        <f aca="true" t="shared" si="6" ref="V26:V43">T26*1.15</f>
        <v>1.70223</v>
      </c>
      <c r="W26" s="19"/>
      <c r="X26" s="19">
        <f>ROUND(P26*V26,0)</f>
        <v>335819</v>
      </c>
      <c r="Y26" s="20"/>
    </row>
    <row r="27" spans="1:25" ht="25.5" customHeight="1">
      <c r="A27" s="81" t="s">
        <v>18</v>
      </c>
      <c r="B27" s="5">
        <v>24</v>
      </c>
      <c r="C27" s="72">
        <v>97550</v>
      </c>
      <c r="D27" s="72"/>
      <c r="E27" s="72">
        <f aca="true" t="shared" si="7" ref="E27:E36">C27</f>
        <v>97550</v>
      </c>
      <c r="F27" s="73">
        <v>6715.56</v>
      </c>
      <c r="G27" s="6">
        <v>6715.56</v>
      </c>
      <c r="H27" s="8"/>
      <c r="I27" s="12">
        <f aca="true" t="shared" si="8" ref="I27:I36">G27*1.15</f>
        <v>7722.894</v>
      </c>
      <c r="J27" s="12">
        <f>F27*1.15</f>
        <v>7722.894</v>
      </c>
      <c r="K27" s="12">
        <f>ROUND(E27*I27/1000,0)</f>
        <v>753368</v>
      </c>
      <c r="L27" s="14"/>
      <c r="M27" s="59">
        <f>ROUND(C27*J27/1000,0)</f>
        <v>753368</v>
      </c>
      <c r="N27" s="82"/>
      <c r="O27" s="44">
        <v>11</v>
      </c>
      <c r="P27" s="65">
        <f>(45516*1.1)-23.49</f>
        <v>50044.11000000001</v>
      </c>
      <c r="Q27" s="11"/>
      <c r="R27" s="11"/>
      <c r="S27" s="11"/>
      <c r="T27" s="16">
        <v>1.4802</v>
      </c>
      <c r="U27" s="17"/>
      <c r="V27" s="18">
        <f t="shared" si="6"/>
        <v>1.70223</v>
      </c>
      <c r="W27" s="19"/>
      <c r="X27" s="19">
        <f>ROUND(P27*V27,0)</f>
        <v>85187</v>
      </c>
      <c r="Y27" s="20"/>
    </row>
    <row r="28" spans="1:25" ht="21" customHeight="1">
      <c r="A28" s="82"/>
      <c r="B28" s="5">
        <v>87</v>
      </c>
      <c r="C28" s="72">
        <v>94648</v>
      </c>
      <c r="D28" s="72"/>
      <c r="E28" s="72">
        <f t="shared" si="7"/>
        <v>94648</v>
      </c>
      <c r="F28" s="73">
        <v>6715.56</v>
      </c>
      <c r="G28" s="6">
        <v>6715.56</v>
      </c>
      <c r="H28" s="8"/>
      <c r="I28" s="12">
        <f t="shared" si="8"/>
        <v>7722.894</v>
      </c>
      <c r="J28" s="12">
        <f aca="true" t="shared" si="9" ref="J28:J36">F28*1.15</f>
        <v>7722.894</v>
      </c>
      <c r="K28" s="12">
        <f>ROUND(E28*I28/1000,0)</f>
        <v>730956</v>
      </c>
      <c r="L28" s="14"/>
      <c r="M28" s="59">
        <f aca="true" t="shared" si="10" ref="M28:M36">ROUND(C28*J28/1000,0)</f>
        <v>730956</v>
      </c>
      <c r="N28" s="70" t="s">
        <v>17</v>
      </c>
      <c r="O28" s="44">
        <v>27</v>
      </c>
      <c r="P28" s="65">
        <f>43047*1.1</f>
        <v>47351.700000000004</v>
      </c>
      <c r="Q28" s="11"/>
      <c r="R28" s="11"/>
      <c r="S28" s="11"/>
      <c r="T28" s="16">
        <v>1.4802</v>
      </c>
      <c r="U28" s="17"/>
      <c r="V28" s="18">
        <f t="shared" si="6"/>
        <v>1.70223</v>
      </c>
      <c r="W28" s="19"/>
      <c r="X28" s="19">
        <f aca="true" t="shared" si="11" ref="X28:X43">ROUND(P28*V28,0)</f>
        <v>80603</v>
      </c>
      <c r="Y28" s="20"/>
    </row>
    <row r="29" spans="1:25" ht="17.25" customHeight="1">
      <c r="A29" s="82"/>
      <c r="B29" s="5">
        <v>108</v>
      </c>
      <c r="C29" s="72">
        <v>48792</v>
      </c>
      <c r="D29" s="72"/>
      <c r="E29" s="72">
        <f t="shared" si="7"/>
        <v>48792</v>
      </c>
      <c r="F29" s="73">
        <v>6715.56</v>
      </c>
      <c r="G29" s="6">
        <v>6715.56</v>
      </c>
      <c r="H29" s="8"/>
      <c r="I29" s="12">
        <f t="shared" si="8"/>
        <v>7722.894</v>
      </c>
      <c r="J29" s="12">
        <f t="shared" si="9"/>
        <v>7722.894</v>
      </c>
      <c r="K29" s="12">
        <f aca="true" t="shared" si="12" ref="K29:K35">ROUND(E29*I29/1000,0)</f>
        <v>376815</v>
      </c>
      <c r="L29" s="14"/>
      <c r="M29" s="59">
        <f t="shared" si="10"/>
        <v>376815</v>
      </c>
      <c r="N29" s="71"/>
      <c r="O29" s="44">
        <v>39</v>
      </c>
      <c r="P29" s="65">
        <f>92105*1.1</f>
        <v>101315.50000000001</v>
      </c>
      <c r="Q29" s="11"/>
      <c r="R29" s="11"/>
      <c r="S29" s="11"/>
      <c r="T29" s="16">
        <v>1.4802</v>
      </c>
      <c r="U29" s="17"/>
      <c r="V29" s="18">
        <f t="shared" si="6"/>
        <v>1.70223</v>
      </c>
      <c r="W29" s="19"/>
      <c r="X29" s="19">
        <f t="shared" si="11"/>
        <v>172462</v>
      </c>
      <c r="Y29" s="20"/>
    </row>
    <row r="30" spans="1:25" ht="18.75" customHeight="1">
      <c r="A30" s="82"/>
      <c r="B30" s="5">
        <v>109</v>
      </c>
      <c r="C30" s="72">
        <v>91302</v>
      </c>
      <c r="D30" s="72"/>
      <c r="E30" s="72">
        <f t="shared" si="7"/>
        <v>91302</v>
      </c>
      <c r="F30" s="73">
        <v>6715.56</v>
      </c>
      <c r="G30" s="6">
        <v>6715.56</v>
      </c>
      <c r="H30" s="8"/>
      <c r="I30" s="12">
        <f t="shared" si="8"/>
        <v>7722.894</v>
      </c>
      <c r="J30" s="12">
        <f t="shared" si="9"/>
        <v>7722.894</v>
      </c>
      <c r="K30" s="12">
        <f t="shared" si="12"/>
        <v>705116</v>
      </c>
      <c r="L30" s="14"/>
      <c r="M30" s="59">
        <f t="shared" si="10"/>
        <v>705116</v>
      </c>
      <c r="N30" s="71"/>
      <c r="O30" s="44" t="s">
        <v>11</v>
      </c>
      <c r="P30" s="65">
        <f>49719*1.1</f>
        <v>54690.9</v>
      </c>
      <c r="Q30" s="11"/>
      <c r="R30" s="11"/>
      <c r="S30" s="11"/>
      <c r="T30" s="16">
        <v>1.4802</v>
      </c>
      <c r="U30" s="17"/>
      <c r="V30" s="18">
        <f t="shared" si="6"/>
        <v>1.70223</v>
      </c>
      <c r="W30" s="19"/>
      <c r="X30" s="19">
        <f t="shared" si="11"/>
        <v>93096</v>
      </c>
      <c r="Y30" s="20"/>
    </row>
    <row r="31" spans="1:25" ht="21.75" customHeight="1">
      <c r="A31" s="82"/>
      <c r="B31" s="5" t="s">
        <v>19</v>
      </c>
      <c r="C31" s="72">
        <v>54506</v>
      </c>
      <c r="D31" s="72"/>
      <c r="E31" s="72">
        <f t="shared" si="7"/>
        <v>54506</v>
      </c>
      <c r="F31" s="73">
        <v>6715.56</v>
      </c>
      <c r="G31" s="6">
        <v>6715.56</v>
      </c>
      <c r="H31" s="8"/>
      <c r="I31" s="12">
        <f t="shared" si="8"/>
        <v>7722.894</v>
      </c>
      <c r="J31" s="12">
        <f t="shared" si="9"/>
        <v>7722.894</v>
      </c>
      <c r="K31" s="12">
        <f>ROUND(E31*I31/1000,0)</f>
        <v>420944</v>
      </c>
      <c r="L31" s="14"/>
      <c r="M31" s="59">
        <f t="shared" si="10"/>
        <v>420944</v>
      </c>
      <c r="N31" s="90" t="s">
        <v>23</v>
      </c>
      <c r="O31" s="67" t="s">
        <v>12</v>
      </c>
      <c r="P31" s="65">
        <f>37740*1.1</f>
        <v>41514</v>
      </c>
      <c r="Q31" s="11"/>
      <c r="R31" s="11"/>
      <c r="S31" s="11"/>
      <c r="T31" s="16">
        <v>1.4802</v>
      </c>
      <c r="U31" s="17"/>
      <c r="V31" s="18">
        <f t="shared" si="6"/>
        <v>1.70223</v>
      </c>
      <c r="W31" s="19"/>
      <c r="X31" s="19">
        <f t="shared" si="11"/>
        <v>70666</v>
      </c>
      <c r="Y31" s="20"/>
    </row>
    <row r="32" spans="1:25" ht="21" customHeight="1">
      <c r="A32" s="82"/>
      <c r="B32" s="5" t="s">
        <v>20</v>
      </c>
      <c r="C32" s="72">
        <v>40872</v>
      </c>
      <c r="D32" s="72"/>
      <c r="E32" s="72">
        <f t="shared" si="7"/>
        <v>40872</v>
      </c>
      <c r="F32" s="73">
        <v>6715.56</v>
      </c>
      <c r="G32" s="6">
        <v>6715.56</v>
      </c>
      <c r="H32" s="8"/>
      <c r="I32" s="12">
        <f t="shared" si="8"/>
        <v>7722.894</v>
      </c>
      <c r="J32" s="12">
        <f t="shared" si="9"/>
        <v>7722.894</v>
      </c>
      <c r="K32" s="12">
        <f t="shared" si="12"/>
        <v>315650</v>
      </c>
      <c r="L32" s="14"/>
      <c r="M32" s="59">
        <f t="shared" si="10"/>
        <v>315650</v>
      </c>
      <c r="N32" s="91"/>
      <c r="O32" s="67">
        <v>87</v>
      </c>
      <c r="P32" s="65">
        <f>78940*1.1</f>
        <v>86834</v>
      </c>
      <c r="Q32" s="11"/>
      <c r="R32" s="11"/>
      <c r="S32" s="11"/>
      <c r="T32" s="16">
        <v>1.4802</v>
      </c>
      <c r="U32" s="17"/>
      <c r="V32" s="18">
        <f t="shared" si="6"/>
        <v>1.70223</v>
      </c>
      <c r="W32" s="19"/>
      <c r="X32" s="19">
        <f t="shared" si="11"/>
        <v>147811</v>
      </c>
      <c r="Y32" s="20"/>
    </row>
    <row r="33" spans="1:25" ht="18" customHeight="1">
      <c r="A33" s="82"/>
      <c r="B33" s="5" t="s">
        <v>21</v>
      </c>
      <c r="C33" s="72">
        <v>54249</v>
      </c>
      <c r="D33" s="72"/>
      <c r="E33" s="72">
        <f t="shared" si="7"/>
        <v>54249</v>
      </c>
      <c r="F33" s="73">
        <v>6715.56</v>
      </c>
      <c r="G33" s="6">
        <v>6715.56</v>
      </c>
      <c r="H33" s="8"/>
      <c r="I33" s="12">
        <f t="shared" si="8"/>
        <v>7722.894</v>
      </c>
      <c r="J33" s="12">
        <f t="shared" si="9"/>
        <v>7722.894</v>
      </c>
      <c r="K33" s="12">
        <f t="shared" si="12"/>
        <v>418959</v>
      </c>
      <c r="L33" s="14"/>
      <c r="M33" s="59">
        <f t="shared" si="10"/>
        <v>418959</v>
      </c>
      <c r="N33" s="91"/>
      <c r="O33" s="67">
        <v>98</v>
      </c>
      <c r="P33" s="65">
        <f>78989*1.1</f>
        <v>86887.90000000001</v>
      </c>
      <c r="Q33" s="11"/>
      <c r="R33" s="11"/>
      <c r="S33" s="11"/>
      <c r="T33" s="16">
        <v>1.4802</v>
      </c>
      <c r="U33" s="17"/>
      <c r="V33" s="18">
        <f t="shared" si="6"/>
        <v>1.70223</v>
      </c>
      <c r="W33" s="19"/>
      <c r="X33" s="19">
        <f t="shared" si="11"/>
        <v>147903</v>
      </c>
      <c r="Y33" s="20"/>
    </row>
    <row r="34" spans="1:25" ht="18.75" customHeight="1">
      <c r="A34" s="82"/>
      <c r="B34" s="5" t="s">
        <v>22</v>
      </c>
      <c r="C34" s="72">
        <v>67496</v>
      </c>
      <c r="D34" s="72"/>
      <c r="E34" s="72">
        <f t="shared" si="7"/>
        <v>67496</v>
      </c>
      <c r="F34" s="73">
        <v>6715.56</v>
      </c>
      <c r="G34" s="6">
        <v>6715.56</v>
      </c>
      <c r="H34" s="8"/>
      <c r="I34" s="12">
        <f t="shared" si="8"/>
        <v>7722.894</v>
      </c>
      <c r="J34" s="12">
        <f t="shared" si="9"/>
        <v>7722.894</v>
      </c>
      <c r="K34" s="12">
        <f t="shared" si="12"/>
        <v>521264</v>
      </c>
      <c r="L34" s="14"/>
      <c r="M34" s="59">
        <f t="shared" si="10"/>
        <v>521264</v>
      </c>
      <c r="N34" s="91"/>
      <c r="O34" s="67">
        <v>108</v>
      </c>
      <c r="P34" s="65">
        <f>40772*1.1</f>
        <v>44849.200000000004</v>
      </c>
      <c r="Q34" s="11"/>
      <c r="R34" s="11"/>
      <c r="S34" s="11"/>
      <c r="T34" s="16">
        <v>1.4802</v>
      </c>
      <c r="U34" s="17"/>
      <c r="V34" s="18">
        <f t="shared" si="6"/>
        <v>1.70223</v>
      </c>
      <c r="W34" s="19"/>
      <c r="X34" s="19">
        <f t="shared" si="11"/>
        <v>76344</v>
      </c>
      <c r="Y34" s="20"/>
    </row>
    <row r="35" spans="1:25" ht="18.75" customHeight="1">
      <c r="A35" s="82"/>
      <c r="B35" s="5">
        <v>125</v>
      </c>
      <c r="C35" s="72">
        <v>68145</v>
      </c>
      <c r="D35" s="72"/>
      <c r="E35" s="72">
        <f t="shared" si="7"/>
        <v>68145</v>
      </c>
      <c r="F35" s="73">
        <v>6715.56</v>
      </c>
      <c r="G35" s="6">
        <v>6715.56</v>
      </c>
      <c r="H35" s="8"/>
      <c r="I35" s="12">
        <f t="shared" si="8"/>
        <v>7722.894</v>
      </c>
      <c r="J35" s="12">
        <f t="shared" si="9"/>
        <v>7722.894</v>
      </c>
      <c r="K35" s="12">
        <f t="shared" si="12"/>
        <v>526277</v>
      </c>
      <c r="L35" s="14"/>
      <c r="M35" s="59">
        <f t="shared" si="10"/>
        <v>526277</v>
      </c>
      <c r="N35" s="91"/>
      <c r="O35" s="67">
        <v>109</v>
      </c>
      <c r="P35" s="65">
        <f>74560*1.1</f>
        <v>82016</v>
      </c>
      <c r="Q35" s="11"/>
      <c r="R35" s="11"/>
      <c r="S35" s="11"/>
      <c r="T35" s="16">
        <v>1.4802</v>
      </c>
      <c r="U35" s="17"/>
      <c r="V35" s="18">
        <f t="shared" si="6"/>
        <v>1.70223</v>
      </c>
      <c r="W35" s="19"/>
      <c r="X35" s="19">
        <f t="shared" si="11"/>
        <v>139610</v>
      </c>
      <c r="Y35" s="20"/>
    </row>
    <row r="36" spans="1:25" ht="21" customHeight="1">
      <c r="A36" s="82"/>
      <c r="B36" s="5">
        <v>127</v>
      </c>
      <c r="C36" s="72">
        <v>29017</v>
      </c>
      <c r="D36" s="72"/>
      <c r="E36" s="72">
        <f t="shared" si="7"/>
        <v>29017</v>
      </c>
      <c r="F36" s="73">
        <v>6715.56</v>
      </c>
      <c r="G36" s="6">
        <v>6715.56</v>
      </c>
      <c r="H36" s="8"/>
      <c r="I36" s="12">
        <f t="shared" si="8"/>
        <v>7722.894</v>
      </c>
      <c r="J36" s="12">
        <f t="shared" si="9"/>
        <v>7722.894</v>
      </c>
      <c r="K36" s="12">
        <f>ROUND(E36*I36/1000,0)-5</f>
        <v>224090</v>
      </c>
      <c r="L36" s="14"/>
      <c r="M36" s="59">
        <f t="shared" si="10"/>
        <v>224095</v>
      </c>
      <c r="N36" s="91"/>
      <c r="O36" s="67" t="s">
        <v>19</v>
      </c>
      <c r="P36" s="65">
        <f>62928*1.1</f>
        <v>69220.8</v>
      </c>
      <c r="Q36" s="11"/>
      <c r="R36" s="11"/>
      <c r="S36" s="11"/>
      <c r="T36" s="16">
        <v>1.4802</v>
      </c>
      <c r="U36" s="17"/>
      <c r="V36" s="18">
        <f t="shared" si="6"/>
        <v>1.70223</v>
      </c>
      <c r="W36" s="19"/>
      <c r="X36" s="19">
        <f t="shared" si="11"/>
        <v>117830</v>
      </c>
      <c r="Y36" s="20"/>
    </row>
    <row r="37" spans="2:25" ht="16.5" customHeight="1">
      <c r="B37" s="35"/>
      <c r="C37" s="63"/>
      <c r="D37" s="62"/>
      <c r="E37" s="62"/>
      <c r="F37" s="62"/>
      <c r="G37" s="62"/>
      <c r="H37" s="31"/>
      <c r="I37" s="31"/>
      <c r="J37" s="14"/>
      <c r="K37" s="14"/>
      <c r="L37" s="14"/>
      <c r="M37" s="14"/>
      <c r="N37" s="84"/>
      <c r="O37" s="67" t="s">
        <v>20</v>
      </c>
      <c r="P37" s="65">
        <f>62073*1.03</f>
        <v>63935.19</v>
      </c>
      <c r="Q37" s="11"/>
      <c r="R37" s="11"/>
      <c r="S37" s="11"/>
      <c r="T37" s="16">
        <v>1.4802</v>
      </c>
      <c r="U37" s="17"/>
      <c r="V37" s="18">
        <f t="shared" si="6"/>
        <v>1.70223</v>
      </c>
      <c r="W37" s="19"/>
      <c r="X37" s="19">
        <f t="shared" si="11"/>
        <v>108832</v>
      </c>
      <c r="Y37" s="20"/>
    </row>
    <row r="38" spans="14:25" ht="18" customHeight="1">
      <c r="N38" s="84"/>
      <c r="O38" s="67" t="s">
        <v>21</v>
      </c>
      <c r="P38" s="65">
        <f>76647*1.028</f>
        <v>78793.11600000001</v>
      </c>
      <c r="Q38" s="11"/>
      <c r="R38" s="11"/>
      <c r="S38" s="11"/>
      <c r="T38" s="16">
        <v>1.4802</v>
      </c>
      <c r="U38" s="17"/>
      <c r="V38" s="18">
        <f t="shared" si="6"/>
        <v>1.70223</v>
      </c>
      <c r="W38" s="19"/>
      <c r="X38" s="19">
        <f t="shared" si="11"/>
        <v>134124</v>
      </c>
      <c r="Y38" s="20"/>
    </row>
    <row r="39" spans="13:25" ht="18.75" customHeight="1">
      <c r="M39" s="14"/>
      <c r="N39" s="91"/>
      <c r="O39" s="67" t="s">
        <v>22</v>
      </c>
      <c r="P39" s="65">
        <f>61254*1.028</f>
        <v>62969.112</v>
      </c>
      <c r="Q39" s="11"/>
      <c r="R39" s="11"/>
      <c r="S39" s="11"/>
      <c r="T39" s="16">
        <v>1.4802</v>
      </c>
      <c r="U39" s="17"/>
      <c r="V39" s="18">
        <f t="shared" si="6"/>
        <v>1.70223</v>
      </c>
      <c r="W39" s="19"/>
      <c r="X39" s="19">
        <f t="shared" si="11"/>
        <v>107188</v>
      </c>
      <c r="Y39" s="20"/>
    </row>
    <row r="40" spans="14:25" ht="21" customHeight="1">
      <c r="N40" s="84"/>
      <c r="O40" s="67">
        <v>125</v>
      </c>
      <c r="P40" s="65">
        <f>40431*1.0281</f>
        <v>41567.1111</v>
      </c>
      <c r="Q40" s="11"/>
      <c r="R40" s="11"/>
      <c r="S40" s="11"/>
      <c r="T40" s="16">
        <v>1.4802</v>
      </c>
      <c r="U40" s="17"/>
      <c r="V40" s="18">
        <f t="shared" si="6"/>
        <v>1.70223</v>
      </c>
      <c r="W40" s="19"/>
      <c r="X40" s="19">
        <f t="shared" si="11"/>
        <v>70757</v>
      </c>
      <c r="Y40" s="20"/>
    </row>
    <row r="41" spans="14:25" ht="19.5" customHeight="1">
      <c r="N41" s="84"/>
      <c r="O41" s="67">
        <v>127</v>
      </c>
      <c r="P41" s="65">
        <f>51602*1.0281</f>
        <v>53052.0162</v>
      </c>
      <c r="Q41" s="11"/>
      <c r="R41" s="11"/>
      <c r="S41" s="11"/>
      <c r="T41" s="16">
        <v>1.4802</v>
      </c>
      <c r="U41" s="17"/>
      <c r="V41" s="18">
        <f t="shared" si="6"/>
        <v>1.70223</v>
      </c>
      <c r="W41" s="19"/>
      <c r="X41" s="19">
        <f t="shared" si="11"/>
        <v>90307</v>
      </c>
      <c r="Y41" s="20"/>
    </row>
    <row r="42" spans="14:25" ht="21" customHeight="1">
      <c r="N42" s="84"/>
      <c r="O42" s="67">
        <v>129</v>
      </c>
      <c r="P42" s="65">
        <f>131951*1.028</f>
        <v>135645.628</v>
      </c>
      <c r="Q42" s="11"/>
      <c r="R42" s="11"/>
      <c r="S42" s="11"/>
      <c r="T42" s="16">
        <v>1.4802</v>
      </c>
      <c r="U42" s="17"/>
      <c r="V42" s="18">
        <f t="shared" si="6"/>
        <v>1.70223</v>
      </c>
      <c r="W42" s="19"/>
      <c r="X42" s="19">
        <f t="shared" si="11"/>
        <v>230900</v>
      </c>
      <c r="Y42" s="20"/>
    </row>
    <row r="43" spans="14:25" ht="21" customHeight="1">
      <c r="N43" s="84"/>
      <c r="O43" s="68" t="s">
        <v>15</v>
      </c>
      <c r="P43" s="25">
        <v>6608</v>
      </c>
      <c r="Q43" s="26"/>
      <c r="R43" s="25"/>
      <c r="S43" s="26"/>
      <c r="T43" s="27">
        <v>1.4802</v>
      </c>
      <c r="U43" s="28"/>
      <c r="V43" s="18">
        <f t="shared" si="6"/>
        <v>1.70223</v>
      </c>
      <c r="W43" s="29"/>
      <c r="X43" s="19">
        <f t="shared" si="11"/>
        <v>11248</v>
      </c>
      <c r="Y43" s="3"/>
    </row>
    <row r="44" ht="2.25" customHeight="1">
      <c r="N44" s="84"/>
    </row>
    <row r="45" ht="12.75" customHeight="1"/>
    <row r="46" ht="12.75" customHeight="1">
      <c r="J46" s="14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</sheetData>
  <sheetProtection/>
  <mergeCells count="13">
    <mergeCell ref="N25:N27"/>
    <mergeCell ref="N31:N44"/>
    <mergeCell ref="A27:A36"/>
    <mergeCell ref="B20:B22"/>
    <mergeCell ref="B14:B16"/>
    <mergeCell ref="B6:B7"/>
    <mergeCell ref="C6:C7"/>
    <mergeCell ref="N11:N13"/>
    <mergeCell ref="N14:N23"/>
    <mergeCell ref="N7:N9"/>
    <mergeCell ref="D6:M6"/>
    <mergeCell ref="B9:C9"/>
    <mergeCell ref="B11:B13"/>
  </mergeCells>
  <printOptions/>
  <pageMargins left="0.7" right="0.7" top="0.75" bottom="0.75" header="0.3" footer="0.3"/>
  <pageSetup horizontalDpi="600" verticalDpi="600" orientation="landscape" paperSize="9" scale="80" r:id="rId1"/>
  <rowBreaks count="1" manualBreakCount="1">
    <brk id="24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2015-01-15T07:04:49Z</dcterms:created>
  <dcterms:modified xsi:type="dcterms:W3CDTF">2015-01-15T15:36:40Z</dcterms:modified>
  <cp:category/>
  <cp:version/>
  <cp:contentType/>
  <cp:contentStatus/>
</cp:coreProperties>
</file>